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<sst xmlns="http://schemas.openxmlformats.org/spreadsheetml/2006/main" count="1423" uniqueCount="258">
  <si>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</si>
  <si>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</si>
  <si>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</si>
  <si>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</si>
  <si>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</si>
  <si>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</si>
  <si>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</si>
  <si>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</si>
  <si>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</si>
  <si>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</si>
  <si>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</si>
  <si>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</si>
  <si>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</si>
  <si>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</si>
  <si>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</si>
  <si>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</si>
  <si>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</si>
  <si>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</si>
  <si>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</si>
  <si>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</si>
  <si>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</si>
  <si>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</si>
  <si>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</si>
  <si>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</si>
  <si>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</si>
  <si>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</si>
  <si>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</si>
  <si>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</si>
  <si>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</si>
  <si>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</si>
  <si>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</si>
  <si>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</si>
  <si>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</si>
  <si>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</si>
  <si>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</si>
  <si>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</si>
  <si>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</si>
  <si>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</si>
  <si>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</si>
  <si>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</si>
  <si>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</si>
  <si>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</si>
  <si>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</si>
  <si>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</si>
  <si>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</si>
  <si>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</si>
  <si>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</si>
  <si>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</si>
  <si>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</si>
  <si>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</si>
  <si>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</si>
  <si>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</si>
  <si>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</si>
  <si>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</si>
  <si>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</si>
  <si>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</si>
  <si>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</si>
  <si>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</si>
  <si>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</si>
  <si>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</si>
  <si>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</si>
  <si>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</si>
  <si>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</si>
  <si>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</si>
  <si>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</si>
  <si>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</si>
  <si>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</si>
  <si>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</si>
  <si>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</si>
  <si>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</si>
  <si>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</si>
  <si>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</si>
  <si>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</si>
  <si>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</si>
  <si>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</si>
  <si>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</si>
  <si>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</si>
  <si>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</si>
  <si>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</si>
  <si>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</si>
  <si>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</si>
  <si>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</si>
  <si>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</si>
  <si>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</si>
  <si>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</si>
  <si>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</si>
  <si>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</si>
  <si>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</si>
  <si>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</si>
  <si>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</si>
  <si>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</si>
  <si>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</si>
  <si>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</si>
  <si>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</si>
  <si>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</si>
  <si>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</si>
  <si>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</si>
  <si>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</si>
  <si>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</si>
  <si>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</si>
  <si>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</si>
  <si>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</si>
  <si>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</si>
  <si>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</si>
  <si>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</si>
  <si>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</si>
  <si>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</si>
  <si>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</si>
  <si>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</si>
  <si>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</si>
  <si>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</si>
  <si>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</si>
  <si>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</si>
  <si>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</si>
  <si>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</si>
  <si>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</si>
  <si>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</si>
  <si>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</si>
  <si>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</si>
  <si>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</si>
  <si>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</si>
  <si>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</si>
  <si>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</si>
  <si>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</si>
  <si>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</si>
  <si>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</si>
  <si>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</si>
  <si>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</si>
  <si>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</si>
  <si>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</si>
  <si>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</si>
  <si>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</si>
  <si>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</si>
  <si>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</si>
  <si>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</si>
  <si>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</si>
  <si>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</si>
  <si>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</si>
  <si>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</si>
  <si>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</si>
  <si>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</si>
  <si>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</si>
  <si>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</si>
  <si>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</si>
  <si>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</si>
  <si>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</si>
  <si>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</si>
  <si>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</si>
  <si>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</si>
  <si>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</si>
  <si>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</si>
  <si>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</si>
  <si>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</si>
  <si>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</si>
  <si>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</si>
  <si>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</si>
  <si>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</si>
  <si>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</si>
  <si>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</si>
  <si>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</si>
  <si>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</si>
  <si>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</si>
  <si>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</si>
  <si>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</si>
  <si>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</si>
  <si>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</si>
  <si>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</si>
  <si>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</si>
  <si>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</si>
  <si>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</si>
  <si>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</si>
  <si>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</si>
  <si>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</si>
  <si>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</si>
  <si>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</si>
  <si>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</si>
  <si>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</si>
  <si>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</si>
  <si>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</si>
  <si>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</si>
  <si>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</si>
  <si>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</si>
  <si>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</si>
  <si>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</si>
  <si>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</si>
  <si>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</si>
  <si>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</si>
  <si>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</si>
  <si>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</si>
  <si>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</si>
  <si>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</si>
  <si>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</si>
  <si>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</si>
  <si>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</si>
  <si>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</si>
  <si>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</si>
  <si>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</si>
  <si>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</si>
  <si>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</si>
  <si>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</si>
  <si>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</si>
  <si>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</si>
  <si>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</si>
  <si>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</si>
  <si>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</si>
  <si>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</si>
  <si>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</si>
  <si>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</si>
  <si>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</si>
  <si>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</si>
  <si>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</si>
  <si>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</si>
  <si>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</si>
  <si>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</si>
  <si>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</si>
  <si>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</si>
  <si>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</si>
  <si>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</si>
  <si>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</si>
  <si>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</si>
  <si>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</si>
  <si>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</si>
  <si>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</si>
  <si>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</si>
  <si>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</si>
  <si>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</si>
  <si>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</si>
  <si>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</si>
  <si>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</si>
  <si>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</si>
  <si>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</si>
  <si>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</si>
  <si>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</si>
  <si>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</si>
  <si>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</si>
  <si>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</si>
  <si>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</si>
  <si>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</si>
  <si>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</si>
  <si>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</si>
  <si>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</si>
  <si>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</si>
  <si>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</si>
  <si>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</si>
  <si>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</si>
  <si>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</si>
  <si>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</si>
  <si>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</si>
  <si>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</si>
  <si>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</si>
  <si>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</si>
  <si>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</si>
  <si>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</si>
  <si>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</si>
  <si>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</si>
  <si>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</si>
  <si>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</si>
  <si>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16.07.14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</si>
</sst>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7"/>
      <sheetName val="депозит"/>
      <sheetName val="залишки  (2)"/>
      <sheetName val="надх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40230566.97</v>
          </cell>
        </row>
      </sheetData>
      <sheetData sheetId="18">
        <row r="28">
          <cell r="C28">
            <v>4870376.3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9" sqref="E14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5" t="s">
        <v>254</v>
      </c>
      <c r="L4" s="166"/>
      <c r="M4" s="204"/>
      <c r="N4" s="183" t="s">
        <v>257</v>
      </c>
      <c r="O4" s="185" t="s">
        <v>136</v>
      </c>
      <c r="P4" s="185" t="s">
        <v>135</v>
      </c>
      <c r="Q4" s="165" t="s">
        <v>255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245450.41000000003</v>
      </c>
      <c r="G8" s="22">
        <f aca="true" t="shared" si="0" ref="G8:G30">F8-E8</f>
        <v>-25784.29999999993</v>
      </c>
      <c r="H8" s="51">
        <f>F8/E8*100</f>
        <v>90.49373142545069</v>
      </c>
      <c r="I8" s="36">
        <f aca="true" t="shared" si="1" ref="I8:I17">F8-D8</f>
        <v>-243025.88999999996</v>
      </c>
      <c r="J8" s="36">
        <f aca="true" t="shared" si="2" ref="J8:J14">F8/D8*100</f>
        <v>50.248171712732024</v>
      </c>
      <c r="K8" s="36">
        <f>F8-267884.5</f>
        <v>-22434.089999999967</v>
      </c>
      <c r="L8" s="136">
        <f>F8/267884.5</f>
        <v>0.9162546171950973</v>
      </c>
      <c r="M8" s="22">
        <f>M10+M19+M33+M56+M68+M30</f>
        <v>37968.180000000015</v>
      </c>
      <c r="N8" s="22">
        <f>N10+N19+N33+N56+N68+N30</f>
        <v>19031.39</v>
      </c>
      <c r="O8" s="36">
        <f aca="true" t="shared" si="3" ref="O8:O71">N8-M8</f>
        <v>-18936.790000000015</v>
      </c>
      <c r="P8" s="36">
        <f>F8/M8*100</f>
        <v>646.4634596654355</v>
      </c>
      <c r="Q8" s="36">
        <f>N8-39945.7</f>
        <v>-20914.309999999998</v>
      </c>
      <c r="R8" s="134">
        <f>N8/39945.7</f>
        <v>0.47643150576908155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199990.6</v>
      </c>
      <c r="G9" s="22">
        <f t="shared" si="0"/>
        <v>199990.6</v>
      </c>
      <c r="H9" s="20"/>
      <c r="I9" s="56">
        <f t="shared" si="1"/>
        <v>-187022.6</v>
      </c>
      <c r="J9" s="56">
        <f t="shared" si="2"/>
        <v>51.67539505112487</v>
      </c>
      <c r="K9" s="56"/>
      <c r="L9" s="135"/>
      <c r="M9" s="20">
        <f>M10+M17</f>
        <v>30824.800000000017</v>
      </c>
      <c r="N9" s="20">
        <f>N10+N17</f>
        <v>16992.47</v>
      </c>
      <c r="O9" s="36">
        <f t="shared" si="3"/>
        <v>-13832.330000000016</v>
      </c>
      <c r="P9" s="56">
        <f>F9/M9*100</f>
        <v>648.7977213153042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199990.6</v>
      </c>
      <c r="G10" s="49">
        <f t="shared" si="0"/>
        <v>-21380.5</v>
      </c>
      <c r="H10" s="40">
        <f aca="true" t="shared" si="4" ref="H10:H17">F10/E10*100</f>
        <v>90.34178354807831</v>
      </c>
      <c r="I10" s="56">
        <f t="shared" si="1"/>
        <v>-187022.6</v>
      </c>
      <c r="J10" s="56">
        <f t="shared" si="2"/>
        <v>51.67539505112487</v>
      </c>
      <c r="K10" s="141">
        <f>F10-211325.8</f>
        <v>-11335.199999999983</v>
      </c>
      <c r="L10" s="142">
        <f>F10/211325.8</f>
        <v>0.9463614949050235</v>
      </c>
      <c r="M10" s="40">
        <f>E10-червень!E10</f>
        <v>30824.800000000017</v>
      </c>
      <c r="N10" s="40">
        <f>F10-червень!F10</f>
        <v>16992.47</v>
      </c>
      <c r="O10" s="53">
        <f t="shared" si="3"/>
        <v>-13832.330000000016</v>
      </c>
      <c r="P10" s="56">
        <f aca="true" t="shared" si="5" ref="P10:P17">N10/M10*100</f>
        <v>55.12596999818326</v>
      </c>
      <c r="Q10" s="141">
        <f>N10-32192.1</f>
        <v>-15199.629999999997</v>
      </c>
      <c r="R10" s="142">
        <f>N10/32192.1</f>
        <v>0.5278459622081194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336.76</v>
      </c>
      <c r="G19" s="49">
        <f t="shared" si="0"/>
        <v>-696.8399999999999</v>
      </c>
      <c r="H19" s="40">
        <f aca="true" t="shared" si="6" ref="H19:H29">F19/E19*100</f>
        <v>32.58126934984521</v>
      </c>
      <c r="I19" s="56">
        <f aca="true" t="shared" si="7" ref="I19:I29">F19-D19</f>
        <v>-663.24</v>
      </c>
      <c r="J19" s="56">
        <f aca="true" t="shared" si="8" ref="J19:J29">F19/D19*100</f>
        <v>33.676</v>
      </c>
      <c r="K19" s="56">
        <f>F19-6042.8</f>
        <v>-5706.04</v>
      </c>
      <c r="L19" s="135">
        <f>F19/6042.8</f>
        <v>0.05572913219037532</v>
      </c>
      <c r="M19" s="40">
        <f>E19-червень!E19</f>
        <v>10.999999999999886</v>
      </c>
      <c r="N19" s="40">
        <f>F19-червень!F19</f>
        <v>18.889999999999986</v>
      </c>
      <c r="O19" s="53">
        <f t="shared" si="3"/>
        <v>7.8900000000001</v>
      </c>
      <c r="P19" s="56">
        <f aca="true" t="shared" si="9" ref="P19:P29">N19/M19*100</f>
        <v>171.72727272727437</v>
      </c>
      <c r="Q19" s="56">
        <f>N19-422.4</f>
        <v>-403.51</v>
      </c>
      <c r="R19" s="135">
        <f>N19/422.4</f>
        <v>0.04472064393939391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839.15</v>
      </c>
      <c r="G29" s="49">
        <f t="shared" si="0"/>
        <v>105.54999999999995</v>
      </c>
      <c r="H29" s="40">
        <f t="shared" si="6"/>
        <v>114.3879498364231</v>
      </c>
      <c r="I29" s="56">
        <f t="shared" si="7"/>
        <v>-90.85000000000002</v>
      </c>
      <c r="J29" s="56">
        <f t="shared" si="8"/>
        <v>90.23118279569893</v>
      </c>
      <c r="K29" s="148">
        <f>F29-2423.68</f>
        <v>-1584.5299999999997</v>
      </c>
      <c r="L29" s="149">
        <f>F29/2423.68</f>
        <v>0.3462297002904674</v>
      </c>
      <c r="M29" s="40">
        <f>E29-червень!E29</f>
        <v>-29</v>
      </c>
      <c r="N29" s="40">
        <f>F29-червень!F29</f>
        <v>10.279999999999973</v>
      </c>
      <c r="O29" s="148">
        <f t="shared" si="3"/>
        <v>39.27999999999997</v>
      </c>
      <c r="P29" s="145">
        <f t="shared" si="9"/>
        <v>-35.448275862068876</v>
      </c>
      <c r="Q29" s="148">
        <f>N29-422.37</f>
        <v>-412.09000000000003</v>
      </c>
      <c r="R29" s="149">
        <f>N29/422.37</f>
        <v>0.0243388498236143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f>2.91</f>
        <v>2.91</v>
      </c>
      <c r="G30" s="49">
        <f t="shared" si="0"/>
        <v>-15.59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E30-червень!E30</f>
        <v>0.5</v>
      </c>
      <c r="N30" s="40">
        <f>F30-червень!F30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41378.6</v>
      </c>
      <c r="G33" s="49">
        <f aca="true" t="shared" si="14" ref="G33:G72">F33-E33</f>
        <v>-3482.510000000002</v>
      </c>
      <c r="H33" s="40">
        <f aca="true" t="shared" si="15" ref="H33:H67">F33/E33*100</f>
        <v>92.23712921949544</v>
      </c>
      <c r="I33" s="56">
        <f>F33-D33</f>
        <v>-52187.4</v>
      </c>
      <c r="J33" s="56">
        <f aca="true" t="shared" si="16" ref="J33:J72">F33/D33*100</f>
        <v>44.22397024560203</v>
      </c>
      <c r="K33" s="141">
        <f>F33-46836.9</f>
        <v>-5458.300000000003</v>
      </c>
      <c r="L33" s="142">
        <f>F33/46836.9</f>
        <v>0.8834615442098004</v>
      </c>
      <c r="M33" s="40">
        <f>E33-червень!E33</f>
        <v>6579.879999999997</v>
      </c>
      <c r="N33" s="40">
        <f>F33-червень!F33</f>
        <v>1545.5400000000009</v>
      </c>
      <c r="O33" s="53">
        <f t="shared" si="3"/>
        <v>-5034.3399999999965</v>
      </c>
      <c r="P33" s="56">
        <f aca="true" t="shared" si="17" ref="P33:P67">N33/M33*100</f>
        <v>23.488878216624034</v>
      </c>
      <c r="Q33" s="141">
        <f>N33-6866.9</f>
        <v>-5321.359999999999</v>
      </c>
      <c r="R33" s="142">
        <f>N33/6866.9</f>
        <v>0.2250709927332568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30922.78</v>
      </c>
      <c r="G55" s="144">
        <f t="shared" si="14"/>
        <v>-2188.029999999999</v>
      </c>
      <c r="H55" s="146">
        <f t="shared" si="15"/>
        <v>93.39179560995336</v>
      </c>
      <c r="I55" s="145">
        <f t="shared" si="18"/>
        <v>-39343.22</v>
      </c>
      <c r="J55" s="145">
        <f t="shared" si="16"/>
        <v>44.008168957959754</v>
      </c>
      <c r="K55" s="148">
        <f>F55-33694.14</f>
        <v>-2771.3600000000006</v>
      </c>
      <c r="L55" s="149">
        <f>F55/33694.14</f>
        <v>0.9177494959064099</v>
      </c>
      <c r="M55" s="40">
        <f>E55-червень!E55</f>
        <v>4779.879999999997</v>
      </c>
      <c r="N55" s="40">
        <f>F55-червень!F55</f>
        <v>1156.1899999999987</v>
      </c>
      <c r="O55" s="148">
        <f t="shared" si="3"/>
        <v>-3623.6899999999987</v>
      </c>
      <c r="P55" s="148">
        <f t="shared" si="17"/>
        <v>24.188682561068465</v>
      </c>
      <c r="Q55" s="163">
        <f>N55-4878.99</f>
        <v>-3722.800000000001</v>
      </c>
      <c r="R55" s="164">
        <f>N55/4878.99</f>
        <v>0.23697322601603996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0.36+3740.2</f>
        <v>3740.56</v>
      </c>
      <c r="G56" s="49">
        <f t="shared" si="14"/>
        <v>-209.74000000000024</v>
      </c>
      <c r="H56" s="40">
        <f t="shared" si="15"/>
        <v>94.69052983317722</v>
      </c>
      <c r="I56" s="56">
        <f t="shared" si="18"/>
        <v>-3119.44</v>
      </c>
      <c r="J56" s="56">
        <f t="shared" si="16"/>
        <v>54.52711370262391</v>
      </c>
      <c r="K56" s="56">
        <f>F56-3653.5</f>
        <v>87.05999999999995</v>
      </c>
      <c r="L56" s="135">
        <f>F56/3653.5</f>
        <v>1.0238292048720405</v>
      </c>
      <c r="M56" s="40">
        <f>E56-червень!E56</f>
        <v>552</v>
      </c>
      <c r="N56" s="40">
        <f>F56-червень!F56</f>
        <v>474.4899999999998</v>
      </c>
      <c r="O56" s="53">
        <f t="shared" si="3"/>
        <v>-77.51000000000022</v>
      </c>
      <c r="P56" s="56">
        <f t="shared" si="17"/>
        <v>85.95833333333329</v>
      </c>
      <c r="Q56" s="56">
        <f>N56-464.2</f>
        <v>10.289999999999793</v>
      </c>
      <c r="R56" s="135">
        <f>N56/464.2</f>
        <v>1.022167169323567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F68-0.5</f>
        <v>0.48</v>
      </c>
      <c r="L68" s="135"/>
      <c r="M68" s="40">
        <f>E68-червень!E68</f>
        <v>0</v>
      </c>
      <c r="N68" s="40">
        <f>F68-червень!F68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7271.87</v>
      </c>
      <c r="G74" s="50">
        <f aca="true" t="shared" si="24" ref="G74:G92">F74-E74</f>
        <v>-1707.13</v>
      </c>
      <c r="H74" s="51">
        <f aca="true" t="shared" si="25" ref="H74:H87">F74/E74*100</f>
        <v>80.98752645060698</v>
      </c>
      <c r="I74" s="36">
        <f aca="true" t="shared" si="26" ref="I74:I92">F74-D74</f>
        <v>-11086.43</v>
      </c>
      <c r="J74" s="36">
        <f aca="true" t="shared" si="27" ref="J74:J92">F74/D74*100</f>
        <v>39.61080274317339</v>
      </c>
      <c r="K74" s="36">
        <f>F74-11260</f>
        <v>-3988.13</v>
      </c>
      <c r="L74" s="136">
        <f>F74/11260</f>
        <v>0.6458143872113676</v>
      </c>
      <c r="M74" s="22">
        <f>M77+M86+M88+M89+M94+M95+M96+M97+M99+M87+M104</f>
        <v>1550.5</v>
      </c>
      <c r="N74" s="22">
        <f>N77+N86+N88+N89+N94+N95+N96+N97+N99+N32+N104+N87+N103</f>
        <v>930.2900000000001</v>
      </c>
      <c r="O74" s="55">
        <f aca="true" t="shared" si="28" ref="O74:O92">N74-M74</f>
        <v>-620.2099999999999</v>
      </c>
      <c r="P74" s="36">
        <f>N74/M74*100</f>
        <v>59.99935504675912</v>
      </c>
      <c r="Q74" s="36">
        <f>N74-2110.7</f>
        <v>-1180.4099999999999</v>
      </c>
      <c r="R74" s="136">
        <f>N74/2110.7</f>
        <v>0.440749514379116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F77-1684.2</f>
        <v>-1579.01</v>
      </c>
      <c r="L77" s="135">
        <f>F77/1684.2</f>
        <v>0.062456952855955344</v>
      </c>
      <c r="M77" s="40">
        <f>E77-червень!E77</f>
        <v>0</v>
      </c>
      <c r="N77" s="40">
        <f>F77-червень!F77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N77-14.3</f>
        <v>-14.3</v>
      </c>
      <c r="R77" s="135">
        <f>N77/14.3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65.54</v>
      </c>
      <c r="G89" s="49">
        <f t="shared" si="24"/>
        <v>-33.459999999999994</v>
      </c>
      <c r="H89" s="40">
        <f>F89/E89*100</f>
        <v>66.20202020202021</v>
      </c>
      <c r="I89" s="56">
        <f t="shared" si="26"/>
        <v>-109.46</v>
      </c>
      <c r="J89" s="56">
        <f t="shared" si="27"/>
        <v>37.45142857142857</v>
      </c>
      <c r="K89" s="56">
        <f>F89-94</f>
        <v>-28.459999999999994</v>
      </c>
      <c r="L89" s="135">
        <f>F89/94</f>
        <v>0.6972340425531915</v>
      </c>
      <c r="M89" s="40">
        <f>E89-червень!E89</f>
        <v>15</v>
      </c>
      <c r="N89" s="40">
        <f>F89-червень!F89</f>
        <v>3.770000000000003</v>
      </c>
      <c r="O89" s="53">
        <f t="shared" si="28"/>
        <v>-11.229999999999997</v>
      </c>
      <c r="P89" s="56">
        <f>N89/M89*100</f>
        <v>25.13333333333335</v>
      </c>
      <c r="Q89" s="56">
        <f>N89-12.8</f>
        <v>-9.029999999999998</v>
      </c>
      <c r="R89" s="135">
        <f>N89/12.8</f>
        <v>0.29453125000000024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4143.34</v>
      </c>
      <c r="G95" s="49">
        <f t="shared" si="31"/>
        <v>36.840000000000146</v>
      </c>
      <c r="H95" s="40">
        <f>F95/E95*100</f>
        <v>100.89711433093875</v>
      </c>
      <c r="I95" s="56">
        <f t="shared" si="32"/>
        <v>-2856.66</v>
      </c>
      <c r="J95" s="56">
        <f>F95/D95*100</f>
        <v>59.190571428571424</v>
      </c>
      <c r="K95" s="56">
        <f>F95-4251.4</f>
        <v>-108.05999999999949</v>
      </c>
      <c r="L95" s="135">
        <f>F95/4251.4</f>
        <v>0.9745824904737265</v>
      </c>
      <c r="M95" s="40">
        <f>E95-червень!E95</f>
        <v>575</v>
      </c>
      <c r="N95" s="40">
        <f>F95-червень!F95</f>
        <v>591.6400000000003</v>
      </c>
      <c r="O95" s="53">
        <f t="shared" si="33"/>
        <v>16.640000000000327</v>
      </c>
      <c r="P95" s="56">
        <f>N95/M95*100</f>
        <v>102.89391304347832</v>
      </c>
      <c r="Q95" s="56">
        <f>N95-621.2</f>
        <v>-29.559999999999718</v>
      </c>
      <c r="R95" s="135">
        <f>N95/621.2</f>
        <v>0.9524146812620738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468.85</v>
      </c>
      <c r="G96" s="49">
        <f t="shared" si="31"/>
        <v>-135.64999999999998</v>
      </c>
      <c r="H96" s="40">
        <f>F96/E96*100</f>
        <v>77.55996691480563</v>
      </c>
      <c r="I96" s="56">
        <f t="shared" si="32"/>
        <v>-731.15</v>
      </c>
      <c r="J96" s="56">
        <f>F96/D96*100</f>
        <v>39.07083333333334</v>
      </c>
      <c r="K96" s="56">
        <f>F96-602.5</f>
        <v>-133.64999999999998</v>
      </c>
      <c r="L96" s="135">
        <f>F96/602.5</f>
        <v>0.7781742738589212</v>
      </c>
      <c r="M96" s="40">
        <f>E96-червень!E96</f>
        <v>130</v>
      </c>
      <c r="N96" s="40">
        <f>F96-червень!F96</f>
        <v>53.52000000000004</v>
      </c>
      <c r="O96" s="53">
        <f t="shared" si="33"/>
        <v>-76.47999999999996</v>
      </c>
      <c r="P96" s="56">
        <f>N96/M96*100</f>
        <v>41.16923076923079</v>
      </c>
      <c r="Q96" s="56">
        <f>N96-139.4</f>
        <v>-85.87999999999997</v>
      </c>
      <c r="R96" s="135">
        <f>N96/139.4</f>
        <v>0.3839311334289816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2250.22</v>
      </c>
      <c r="G99" s="49">
        <f t="shared" si="31"/>
        <v>63.2199999999998</v>
      </c>
      <c r="H99" s="40">
        <f>F99/E99*100</f>
        <v>102.89071787837219</v>
      </c>
      <c r="I99" s="56">
        <f t="shared" si="32"/>
        <v>-2322.48</v>
      </c>
      <c r="J99" s="56">
        <f>F99/D99*100</f>
        <v>49.209876003236594</v>
      </c>
      <c r="K99" s="56">
        <f>F99-2623.7</f>
        <v>-373.48</v>
      </c>
      <c r="L99" s="135">
        <f>F99/2623.7</f>
        <v>0.8576514083164996</v>
      </c>
      <c r="M99" s="40">
        <f>E99-червень!E99</f>
        <v>350</v>
      </c>
      <c r="N99" s="40">
        <f>F99-червень!F99</f>
        <v>280.9399999999998</v>
      </c>
      <c r="O99" s="53">
        <f t="shared" si="33"/>
        <v>-69.06000000000017</v>
      </c>
      <c r="P99" s="56">
        <f>N99/M99*100</f>
        <v>80.26857142857138</v>
      </c>
      <c r="Q99" s="56">
        <f>N99-632</f>
        <v>-351.0600000000002</v>
      </c>
      <c r="R99" s="135">
        <f>N99/632</f>
        <v>0.44452531645569593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448.3</v>
      </c>
      <c r="G102" s="144"/>
      <c r="H102" s="146"/>
      <c r="I102" s="145"/>
      <c r="J102" s="145"/>
      <c r="K102" s="148">
        <f>F102-325</f>
        <v>123.30000000000001</v>
      </c>
      <c r="L102" s="149">
        <f>F102/325</f>
        <v>1.3793846153846154</v>
      </c>
      <c r="M102" s="40">
        <f>E102-червень!E102</f>
        <v>0</v>
      </c>
      <c r="N102" s="40">
        <f>F102-червень!F102</f>
        <v>85</v>
      </c>
      <c r="O102" s="53"/>
      <c r="P102" s="60"/>
      <c r="Q102" s="60">
        <f>N102-80.2</f>
        <v>4.799999999999997</v>
      </c>
      <c r="R102" s="138">
        <f>N102/80.2</f>
        <v>1.059850374064838</v>
      </c>
    </row>
    <row r="103" spans="1:18" s="6" customFormat="1" ht="15.75">
      <c r="A103" s="8"/>
      <c r="B103" s="67" t="s">
        <v>100</v>
      </c>
      <c r="C103" s="167">
        <v>24060600</v>
      </c>
      <c r="D103" s="144"/>
      <c r="E103" s="144"/>
      <c r="F103" s="168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-51.37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14.13</v>
      </c>
      <c r="G105" s="49">
        <f>F105-E105</f>
        <v>-4.0699999999999985</v>
      </c>
      <c r="H105" s="40">
        <f>F105/E105*100</f>
        <v>77.63736263736266</v>
      </c>
      <c r="I105" s="56">
        <f t="shared" si="34"/>
        <v>-30.869999999999997</v>
      </c>
      <c r="J105" s="56">
        <f aca="true" t="shared" si="36" ref="J105:J110">F105/D105*100</f>
        <v>31.4</v>
      </c>
      <c r="K105" s="56">
        <f>F105-13.4</f>
        <v>0.7300000000000004</v>
      </c>
      <c r="L105" s="135">
        <f>F105/13.4</f>
        <v>1.0544776119402985</v>
      </c>
      <c r="M105" s="40">
        <f>E105-червень!E105</f>
        <v>3</v>
      </c>
      <c r="N105" s="40">
        <f>F105-червень!F105</f>
        <v>0.22000000000000064</v>
      </c>
      <c r="O105" s="53">
        <f t="shared" si="35"/>
        <v>-2.7799999999999994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252736.49000000002</v>
      </c>
      <c r="G107" s="50">
        <f>F107-E107</f>
        <v>-27495.419999999955</v>
      </c>
      <c r="H107" s="51">
        <f>F107/E107*100</f>
        <v>90.18833365550698</v>
      </c>
      <c r="I107" s="36">
        <f t="shared" si="34"/>
        <v>-254143.10999999996</v>
      </c>
      <c r="J107" s="36">
        <f t="shared" si="36"/>
        <v>49.86124712850942</v>
      </c>
      <c r="K107" s="36">
        <f>F107-279160.4</f>
        <v>-26423.910000000003</v>
      </c>
      <c r="L107" s="136">
        <f>F107/279160.4</f>
        <v>0.9053450632682859</v>
      </c>
      <c r="M107" s="22">
        <f>M8+M74+M105+M106</f>
        <v>39521.680000000015</v>
      </c>
      <c r="N107" s="22">
        <f>N8+N74+N105+N106</f>
        <v>19961.9</v>
      </c>
      <c r="O107" s="55">
        <f t="shared" si="35"/>
        <v>-19559.780000000013</v>
      </c>
      <c r="P107" s="36">
        <f>N107/M107*100</f>
        <v>50.50873343440865</v>
      </c>
      <c r="Q107" s="36">
        <f>N107-42056.4</f>
        <v>-22094.5</v>
      </c>
      <c r="R107" s="136">
        <f>N107/42056.4</f>
        <v>0.474645951626863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200459.45</v>
      </c>
      <c r="G108" s="71">
        <f>G10-G18+G96</f>
        <v>-21516.15</v>
      </c>
      <c r="H108" s="72">
        <f>F108/E108*100</f>
        <v>90.30697518105593</v>
      </c>
      <c r="I108" s="52">
        <f t="shared" si="34"/>
        <v>-187753.75</v>
      </c>
      <c r="J108" s="52">
        <f t="shared" si="36"/>
        <v>51.63643327944541</v>
      </c>
      <c r="K108" s="52">
        <f>F108-212017.3</f>
        <v>-11557.849999999977</v>
      </c>
      <c r="L108" s="137">
        <f>F108/212017.3</f>
        <v>0.9454862881472409</v>
      </c>
      <c r="M108" s="71">
        <f>M10-M18+M96</f>
        <v>30954.800000000017</v>
      </c>
      <c r="N108" s="71">
        <f>N10-N18+N96</f>
        <v>17045.99</v>
      </c>
      <c r="O108" s="53">
        <f t="shared" si="35"/>
        <v>-13908.810000000016</v>
      </c>
      <c r="P108" s="52">
        <f>N108/M108*100</f>
        <v>55.06735627430961</v>
      </c>
      <c r="Q108" s="52">
        <f>N108-32331.5</f>
        <v>-15285.509999999998</v>
      </c>
      <c r="R108" s="137">
        <f>N108/32331.5</f>
        <v>0.5272254612374929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52277.04000000001</v>
      </c>
      <c r="G109" s="62">
        <f>F109-E109</f>
        <v>-5979.26999999996</v>
      </c>
      <c r="H109" s="72">
        <f>F109/E109*100</f>
        <v>89.7362706288813</v>
      </c>
      <c r="I109" s="52">
        <f t="shared" si="34"/>
        <v>-66389.35999999996</v>
      </c>
      <c r="J109" s="52">
        <f t="shared" si="36"/>
        <v>44.053784390526744</v>
      </c>
      <c r="K109" s="52">
        <f>F109-67143.1</f>
        <v>-14866.059999999998</v>
      </c>
      <c r="L109" s="137">
        <f>F109/67143.1</f>
        <v>0.7785913965843103</v>
      </c>
      <c r="M109" s="71">
        <f>M107-M108</f>
        <v>8566.879999999997</v>
      </c>
      <c r="N109" s="71">
        <f>N107-N108</f>
        <v>2915.91</v>
      </c>
      <c r="O109" s="53">
        <f t="shared" si="35"/>
        <v>-5650.9699999999975</v>
      </c>
      <c r="P109" s="52">
        <f>N109/M109*100</f>
        <v>34.037012307864714</v>
      </c>
      <c r="Q109" s="52">
        <f>N109-9724.9</f>
        <v>-6808.99</v>
      </c>
      <c r="R109" s="137">
        <f>N109/9924.9</f>
        <v>0.29379741861378955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200459.45</v>
      </c>
      <c r="G110" s="111">
        <f>F110-E110</f>
        <v>-16146.25</v>
      </c>
      <c r="H110" s="72">
        <f>F110/E110*100</f>
        <v>92.54578711455885</v>
      </c>
      <c r="I110" s="81">
        <f t="shared" si="34"/>
        <v>-187753.75</v>
      </c>
      <c r="J110" s="52">
        <f t="shared" si="36"/>
        <v>51.63643327944541</v>
      </c>
      <c r="K110" s="52"/>
      <c r="L110" s="137"/>
      <c r="M110" s="72">
        <f>E110-травень!E109</f>
        <v>65489.30000000002</v>
      </c>
      <c r="N110" s="71">
        <f>N108</f>
        <v>17045.99</v>
      </c>
      <c r="O110" s="118">
        <f t="shared" si="35"/>
        <v>-48443.31000000001</v>
      </c>
      <c r="P110" s="52">
        <f>N110/M110*100</f>
        <v>26.02866422453744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698.08</v>
      </c>
      <c r="G115" s="49">
        <f t="shared" si="37"/>
        <v>-1326.52</v>
      </c>
      <c r="H115" s="40">
        <f aca="true" t="shared" si="39" ref="H115:H126">F115/E115*100</f>
        <v>34.47989726365702</v>
      </c>
      <c r="I115" s="60">
        <f t="shared" si="38"/>
        <v>-2973.42</v>
      </c>
      <c r="J115" s="60">
        <f aca="true" t="shared" si="40" ref="J115:J121">F115/D115*100</f>
        <v>19.01348222797222</v>
      </c>
      <c r="K115" s="60">
        <f>F115-2198.8</f>
        <v>-1500.7200000000003</v>
      </c>
      <c r="L115" s="138">
        <f>F115/2198.8</f>
        <v>0.3174822630525741</v>
      </c>
      <c r="M115" s="40">
        <f>E115-червень!E115</f>
        <v>327.5</v>
      </c>
      <c r="N115" s="40">
        <f>F115-червень!F115</f>
        <v>92</v>
      </c>
      <c r="O115" s="53">
        <f aca="true" t="shared" si="41" ref="O115:O126">N115-M115</f>
        <v>-235.5</v>
      </c>
      <c r="P115" s="60">
        <f>N115/M115*100</f>
        <v>28.091603053435115</v>
      </c>
      <c r="Q115" s="60">
        <f>N115-307.3</f>
        <v>-215.3</v>
      </c>
      <c r="R115" s="138">
        <f>N115/307.3</f>
        <v>0.299381711682395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880.2800000000001</v>
      </c>
      <c r="G117" s="62">
        <f t="shared" si="37"/>
        <v>-1300.8199999999997</v>
      </c>
      <c r="H117" s="72">
        <f t="shared" si="39"/>
        <v>40.35945165283573</v>
      </c>
      <c r="I117" s="61">
        <f t="shared" si="38"/>
        <v>-3059.3199999999997</v>
      </c>
      <c r="J117" s="61">
        <f t="shared" si="40"/>
        <v>22.344400446745865</v>
      </c>
      <c r="K117" s="61">
        <f>F117-2366</f>
        <v>-1485.7199999999998</v>
      </c>
      <c r="L117" s="139">
        <f>F117/2366</f>
        <v>0.37205409974640746</v>
      </c>
      <c r="M117" s="62">
        <f>M115+M116+M114</f>
        <v>349.5</v>
      </c>
      <c r="N117" s="38">
        <f>SUM(N114:N116)</f>
        <v>110.13</v>
      </c>
      <c r="O117" s="61">
        <f t="shared" si="41"/>
        <v>-239.37</v>
      </c>
      <c r="P117" s="61">
        <f>N117/M117*100</f>
        <v>31.510729613733908</v>
      </c>
      <c r="Q117" s="61">
        <f>N117-335.5</f>
        <v>-225.37</v>
      </c>
      <c r="R117" s="139">
        <f>N117/335.5</f>
        <v>0.32825633383010433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151.94</v>
      </c>
      <c r="G119" s="49">
        <f t="shared" si="37"/>
        <v>-30.560000000000002</v>
      </c>
      <c r="H119" s="40">
        <f t="shared" si="39"/>
        <v>83.25479452054795</v>
      </c>
      <c r="I119" s="60">
        <f t="shared" si="38"/>
        <v>-115.25999999999999</v>
      </c>
      <c r="J119" s="60">
        <f t="shared" si="40"/>
        <v>56.86377245508982</v>
      </c>
      <c r="K119" s="60">
        <f>F119-172.6</f>
        <v>-20.659999999999997</v>
      </c>
      <c r="L119" s="138">
        <f>F119/172.6</f>
        <v>0.8803012746234067</v>
      </c>
      <c r="M119" s="40">
        <f>E119-червень!E119</f>
        <v>73</v>
      </c>
      <c r="N119" s="40">
        <f>F119-червень!F119</f>
        <v>13.659999999999997</v>
      </c>
      <c r="O119" s="53">
        <f>N119-M119</f>
        <v>-59.34</v>
      </c>
      <c r="P119" s="60">
        <f>N119/M119*100</f>
        <v>18.71232876712328</v>
      </c>
      <c r="Q119" s="60">
        <f>N119-76.8</f>
        <v>-63.14</v>
      </c>
      <c r="R119" s="138">
        <f>N119/76.8</f>
        <v>0.1778645833333333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41731.07</v>
      </c>
      <c r="G120" s="49">
        <f t="shared" si="37"/>
        <v>418.47000000000116</v>
      </c>
      <c r="H120" s="40">
        <f t="shared" si="39"/>
        <v>101.01293552088224</v>
      </c>
      <c r="I120" s="53">
        <f t="shared" si="38"/>
        <v>-30244.920000000006</v>
      </c>
      <c r="J120" s="60">
        <f t="shared" si="40"/>
        <v>57.979153881731946</v>
      </c>
      <c r="K120" s="60">
        <f>F120-39659.2</f>
        <v>2071.8700000000026</v>
      </c>
      <c r="L120" s="138">
        <f>F120/39659.2</f>
        <v>1.0522418505668294</v>
      </c>
      <c r="M120" s="40">
        <f>E120-червень!E120</f>
        <v>7100</v>
      </c>
      <c r="N120" s="40">
        <f>F120-червень!F120</f>
        <v>3677.3600000000006</v>
      </c>
      <c r="O120" s="53">
        <f t="shared" si="41"/>
        <v>-3422.6399999999994</v>
      </c>
      <c r="P120" s="60">
        <f aca="true" t="shared" si="42" ref="P120:P125">N120/M120*100</f>
        <v>51.79380281690141</v>
      </c>
      <c r="Q120" s="60">
        <v>7148.5</v>
      </c>
      <c r="R120" s="138">
        <f>N120/7148.5</f>
        <v>0.5144240050360216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1678.12</v>
      </c>
      <c r="G121" s="49">
        <f t="shared" si="37"/>
        <v>-4.880000000000109</v>
      </c>
      <c r="H121" s="40">
        <f t="shared" si="39"/>
        <v>99.71004159239453</v>
      </c>
      <c r="I121" s="60">
        <f t="shared" si="38"/>
        <v>-8321.880000000001</v>
      </c>
      <c r="J121" s="60">
        <f t="shared" si="40"/>
        <v>16.7812</v>
      </c>
      <c r="K121" s="60">
        <f>F121-1120.9</f>
        <v>557.2199999999998</v>
      </c>
      <c r="L121" s="138">
        <f>F121/1120.9</f>
        <v>1.4971183870104379</v>
      </c>
      <c r="M121" s="40">
        <f>E121-червень!E121</f>
        <v>16</v>
      </c>
      <c r="N121" s="40">
        <f>F121-червень!F121</f>
        <v>19.179999999999836</v>
      </c>
      <c r="O121" s="53">
        <f t="shared" si="41"/>
        <v>3.1799999999998363</v>
      </c>
      <c r="P121" s="60">
        <f t="shared" si="42"/>
        <v>119.87499999999898</v>
      </c>
      <c r="Q121" s="60">
        <f>N121-496.3</f>
        <v>-477.1200000000002</v>
      </c>
      <c r="R121" s="138">
        <f>N121/496.3</f>
        <v>0.03864598025387837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2164.5</v>
      </c>
      <c r="G122" s="49">
        <f t="shared" si="37"/>
        <v>-5068</v>
      </c>
      <c r="H122" s="40">
        <f t="shared" si="39"/>
        <v>29.927410992049776</v>
      </c>
      <c r="I122" s="60">
        <f t="shared" si="38"/>
        <v>-20913.5</v>
      </c>
      <c r="J122" s="60">
        <f>F122/D122*100</f>
        <v>9.379062310425514</v>
      </c>
      <c r="K122" s="60">
        <f>F122-14177.3</f>
        <v>-12012.8</v>
      </c>
      <c r="L122" s="138">
        <f>F122/14177.3</f>
        <v>0.15267364025590205</v>
      </c>
      <c r="M122" s="40">
        <f>E122-червень!E122</f>
        <v>2409.8999999999996</v>
      </c>
      <c r="N122" s="40">
        <f>F122-червень!F122</f>
        <v>47.36999999999989</v>
      </c>
      <c r="O122" s="53">
        <f t="shared" si="41"/>
        <v>-2362.5299999999997</v>
      </c>
      <c r="P122" s="60">
        <f t="shared" si="42"/>
        <v>1.9656417278725216</v>
      </c>
      <c r="Q122" s="60">
        <f>N122-329.4</f>
        <v>-282.0300000000001</v>
      </c>
      <c r="R122" s="138">
        <f>N122/329.4</f>
        <v>0.1438069216757738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46489.850000000006</v>
      </c>
      <c r="G124" s="62">
        <f t="shared" si="37"/>
        <v>-4972.789999999994</v>
      </c>
      <c r="H124" s="72">
        <f t="shared" si="39"/>
        <v>90.33708725397688</v>
      </c>
      <c r="I124" s="61">
        <f t="shared" si="38"/>
        <v>-60831.34</v>
      </c>
      <c r="J124" s="61">
        <f>F124/D124*100</f>
        <v>43.3184257461178</v>
      </c>
      <c r="K124" s="61">
        <f>F124-56479.4</f>
        <v>-9989.549999999996</v>
      </c>
      <c r="L124" s="139">
        <f>F124/56479.4</f>
        <v>0.8231293179460123</v>
      </c>
      <c r="M124" s="62">
        <f>M120+M121+M122+M123+M119</f>
        <v>9788.49</v>
      </c>
      <c r="N124" s="62">
        <f>N120+N121+N122+N123+N119</f>
        <v>3793.4800000000005</v>
      </c>
      <c r="O124" s="61">
        <f t="shared" si="41"/>
        <v>-5995.009999999999</v>
      </c>
      <c r="P124" s="61">
        <f t="shared" si="42"/>
        <v>38.754496352348525</v>
      </c>
      <c r="Q124" s="61">
        <f>N124-8200.3</f>
        <v>-4406.819999999999</v>
      </c>
      <c r="R124" s="139">
        <f>N124/8200.3</f>
        <v>0.46260258771020585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E127-червень!E127</f>
        <v>0</v>
      </c>
      <c r="N127" s="40">
        <f>F127-червень!F127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5298.87</v>
      </c>
      <c r="G128" s="49">
        <f aca="true" t="shared" si="43" ref="G128:G135">F128-E128</f>
        <v>283.3699999999999</v>
      </c>
      <c r="H128" s="40">
        <f>F128/E128*100</f>
        <v>105.64988535539825</v>
      </c>
      <c r="I128" s="60">
        <f aca="true" t="shared" si="44" ref="I128:I135">F128-D128</f>
        <v>-3401.13</v>
      </c>
      <c r="J128" s="60">
        <f>F128/D128*100</f>
        <v>60.90655172413793</v>
      </c>
      <c r="K128" s="60">
        <f>F128-6320.8</f>
        <v>-1021.9300000000003</v>
      </c>
      <c r="L128" s="138">
        <f>F128/6320.8</f>
        <v>0.8383226806733325</v>
      </c>
      <c r="M128" s="40">
        <f>E128-червень!E128</f>
        <v>3</v>
      </c>
      <c r="N128" s="40">
        <f>F128-червень!F128</f>
        <v>3.3099999999994907</v>
      </c>
      <c r="O128" s="53">
        <f aca="true" t="shared" si="45" ref="O128:O135">N128-M128</f>
        <v>0.3099999999994907</v>
      </c>
      <c r="P128" s="60">
        <f>N128/M128*100</f>
        <v>110.33333333331636</v>
      </c>
      <c r="Q128" s="60">
        <f>N128-19.4</f>
        <v>-16.090000000000508</v>
      </c>
      <c r="R128" s="162">
        <f>N128/19.4</f>
        <v>0.17061855670100468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0.35</v>
      </c>
      <c r="G129" s="49">
        <f t="shared" si="43"/>
        <v>0.35</v>
      </c>
      <c r="H129" s="40"/>
      <c r="I129" s="60">
        <f t="shared" si="44"/>
        <v>0.35</v>
      </c>
      <c r="J129" s="60"/>
      <c r="K129" s="60">
        <f>F129-(-0.1)</f>
        <v>0.44999999999999996</v>
      </c>
      <c r="L129" s="138">
        <f>F129/(-0.1)</f>
        <v>-3.4999999999999996</v>
      </c>
      <c r="M129" s="40">
        <f>E129-червень!E129</f>
        <v>0</v>
      </c>
      <c r="N129" s="40">
        <f>F129-червень!F129</f>
        <v>0.08999999999999997</v>
      </c>
      <c r="O129" s="53">
        <f t="shared" si="45"/>
        <v>0.08999999999999997</v>
      </c>
      <c r="P129" s="60"/>
      <c r="Q129" s="60">
        <f>N129-0.3</f>
        <v>-0.21000000000000002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5331.150000000001</v>
      </c>
      <c r="G130" s="62">
        <f t="shared" si="43"/>
        <v>289.2900000000009</v>
      </c>
      <c r="H130" s="72">
        <f>F130/E130*100</f>
        <v>105.73776344444315</v>
      </c>
      <c r="I130" s="61">
        <f t="shared" si="44"/>
        <v>-3419.55</v>
      </c>
      <c r="J130" s="61">
        <f>F130/D130*100</f>
        <v>60.92255476704721</v>
      </c>
      <c r="K130" s="61">
        <f>F130-6438.4</f>
        <v>-1107.249999999999</v>
      </c>
      <c r="L130" s="139">
        <f>G130/6438.4</f>
        <v>0.04493197067594447</v>
      </c>
      <c r="M130" s="62">
        <f>M125+M128+M129+M127</f>
        <v>5</v>
      </c>
      <c r="N130" s="62">
        <f>N125+N128+N129+N127</f>
        <v>3.3999999999994905</v>
      </c>
      <c r="O130" s="61">
        <f t="shared" si="45"/>
        <v>-1.6000000000005095</v>
      </c>
      <c r="P130" s="61">
        <f>N130/M130*100</f>
        <v>67.99999999998981</v>
      </c>
      <c r="Q130" s="61">
        <f>N130-28.2</f>
        <v>-24.80000000000051</v>
      </c>
      <c r="R130" s="137">
        <f>N130/28.2</f>
        <v>0.12056737588650676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21.99</v>
      </c>
      <c r="G131" s="49">
        <f>F131-E131</f>
        <v>5.939999999999998</v>
      </c>
      <c r="H131" s="40">
        <f>F131/E131*100</f>
        <v>137.0093457943925</v>
      </c>
      <c r="I131" s="60">
        <f>F131-D131</f>
        <v>-8.010000000000002</v>
      </c>
      <c r="J131" s="60">
        <f>F131/D131*100</f>
        <v>73.3</v>
      </c>
      <c r="K131" s="60">
        <f>F131-17.3</f>
        <v>4.689999999999998</v>
      </c>
      <c r="L131" s="138">
        <f>F131/17.3</f>
        <v>1.2710982658959535</v>
      </c>
      <c r="M131" s="40">
        <f>E131-червень!E131</f>
        <v>0.40000000000000036</v>
      </c>
      <c r="N131" s="40">
        <f>F131-червень!F131</f>
        <v>0.8699999999999974</v>
      </c>
      <c r="O131" s="53">
        <f>N131-M131</f>
        <v>0.4699999999999971</v>
      </c>
      <c r="P131" s="60">
        <f>N131/M131*100</f>
        <v>217.49999999999918</v>
      </c>
      <c r="Q131" s="60">
        <f>N131-0.5</f>
        <v>0.36999999999999744</v>
      </c>
      <c r="R131" s="138">
        <f>N131/0.5</f>
        <v>1.7399999999999949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52723.270000000004</v>
      </c>
      <c r="G134" s="50">
        <f t="shared" si="43"/>
        <v>-5978.379999999997</v>
      </c>
      <c r="H134" s="51">
        <f>F134/E134*100</f>
        <v>89.81565254128292</v>
      </c>
      <c r="I134" s="36">
        <f t="shared" si="44"/>
        <v>-67318.22</v>
      </c>
      <c r="J134" s="36">
        <f>F134/D134*100</f>
        <v>43.920872691600216</v>
      </c>
      <c r="K134" s="36">
        <f>F134-65301.1</f>
        <v>-12577.829999999994</v>
      </c>
      <c r="L134" s="136">
        <f>F134/65301.1</f>
        <v>0.8073871649941579</v>
      </c>
      <c r="M134" s="31">
        <f>M117+M131+M124+M130+M133+M132</f>
        <v>10143.39</v>
      </c>
      <c r="N134" s="31">
        <f>N117+N131+N124+N130+N133+N132</f>
        <v>3907.88</v>
      </c>
      <c r="O134" s="36">
        <f t="shared" si="45"/>
        <v>-6235.509999999999</v>
      </c>
      <c r="P134" s="36">
        <f>N134/M134*100</f>
        <v>38.52637037519015</v>
      </c>
      <c r="Q134" s="36">
        <f>N134-8564.5</f>
        <v>-4656.62</v>
      </c>
      <c r="R134" s="136">
        <f>N134/8564.5</f>
        <v>0.4562881662677331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305459.76</v>
      </c>
      <c r="G135" s="50">
        <f t="shared" si="43"/>
        <v>-33473.79999999999</v>
      </c>
      <c r="H135" s="51">
        <f>F135/E135*100</f>
        <v>90.12378709266797</v>
      </c>
      <c r="I135" s="36">
        <f t="shared" si="44"/>
        <v>-321461.32999999996</v>
      </c>
      <c r="J135" s="36">
        <f>F135/D135*100</f>
        <v>48.723797120942294</v>
      </c>
      <c r="K135" s="36">
        <f>F135-344461.4</f>
        <v>-39001.640000000014</v>
      </c>
      <c r="L135" s="136">
        <f>F135/344461.4</f>
        <v>0.886775005849712</v>
      </c>
      <c r="M135" s="22">
        <f>M107+M134</f>
        <v>49665.070000000014</v>
      </c>
      <c r="N135" s="22">
        <f>N107+N134</f>
        <v>23869.780000000002</v>
      </c>
      <c r="O135" s="36">
        <f t="shared" si="45"/>
        <v>-25795.29000000001</v>
      </c>
      <c r="P135" s="36">
        <f>N135/M135*100</f>
        <v>48.061504796026654</v>
      </c>
      <c r="Q135" s="36">
        <f>N135-50620.9</f>
        <v>-26751.12</v>
      </c>
      <c r="R135" s="136">
        <f>N135/50620.9</f>
        <v>0.4715400160803147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11</v>
      </c>
      <c r="D137" s="4" t="s">
        <v>118</v>
      </c>
    </row>
    <row r="138" spans="2:17" ht="31.5">
      <c r="B138" s="78" t="s">
        <v>154</v>
      </c>
      <c r="C138" s="39">
        <f>IF(O107&lt;0,ABS(O107/C137),0)</f>
        <v>1778.1618181818194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41836</v>
      </c>
      <c r="D139" s="39">
        <v>1408.5</v>
      </c>
      <c r="N139" s="179"/>
      <c r="O139" s="179"/>
    </row>
    <row r="140" spans="3:15" ht="15.75">
      <c r="C140" s="120">
        <v>41835</v>
      </c>
      <c r="D140" s="39">
        <v>3612.3</v>
      </c>
      <c r="F140" s="4" t="s">
        <v>166</v>
      </c>
      <c r="G140" s="175" t="s">
        <v>151</v>
      </c>
      <c r="H140" s="175"/>
      <c r="I140" s="115"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41834</v>
      </c>
      <c r="D141" s="39">
        <v>959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117681.17902</v>
      </c>
      <c r="E143" s="80"/>
      <c r="F143" s="100" t="s">
        <v>147</v>
      </c>
      <c r="G143" s="175" t="s">
        <v>149</v>
      </c>
      <c r="H143" s="175"/>
      <c r="I143" s="116">
        <v>103855.95706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40230.56697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5" t="s">
        <v>240</v>
      </c>
      <c r="L4" s="166"/>
      <c r="M4" s="204"/>
      <c r="N4" s="183" t="s">
        <v>247</v>
      </c>
      <c r="O4" s="185" t="s">
        <v>136</v>
      </c>
      <c r="P4" s="185" t="s">
        <v>135</v>
      </c>
      <c r="Q4" s="165" t="s">
        <v>242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828.87</v>
      </c>
      <c r="G29" s="49">
        <f t="shared" si="0"/>
        <v>66.26999999999998</v>
      </c>
      <c r="H29" s="40">
        <f t="shared" si="6"/>
        <v>108.69000786782061</v>
      </c>
      <c r="I29" s="56">
        <f t="shared" si="7"/>
        <v>-101.13</v>
      </c>
      <c r="J29" s="56">
        <f t="shared" si="8"/>
        <v>89.1258064516129</v>
      </c>
      <c r="K29" s="148">
        <f>F29-2001.3</f>
        <v>-1172.4299999999998</v>
      </c>
      <c r="L29" s="149">
        <f>F29/2001.3</f>
        <v>0.41416579223504724</v>
      </c>
      <c r="M29" s="146">
        <f>E29-травень!E29</f>
        <v>11</v>
      </c>
      <c r="N29" s="40">
        <f>F29-травень!F29</f>
        <v>23.210000000000036</v>
      </c>
      <c r="O29" s="148">
        <f t="shared" si="3"/>
        <v>12.210000000000036</v>
      </c>
      <c r="P29" s="145">
        <f t="shared" si="9"/>
        <v>211.00000000000034</v>
      </c>
      <c r="Q29" s="148">
        <f>N29-403.3</f>
        <v>-380.09</v>
      </c>
      <c r="R29" s="149">
        <f>N29/403.3</f>
        <v>0.05755021076122002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363.3</v>
      </c>
      <c r="G102" s="144"/>
      <c r="H102" s="146"/>
      <c r="I102" s="145"/>
      <c r="J102" s="145"/>
      <c r="K102" s="148">
        <f>F102-244.8</f>
        <v>118.5</v>
      </c>
      <c r="L102" s="149">
        <f>F102/244.8</f>
        <v>1.4840686274509804</v>
      </c>
      <c r="M102" s="40">
        <f>E102-травень!E102</f>
        <v>0</v>
      </c>
      <c r="N102" s="146">
        <f>F102-травень!F102</f>
        <v>72.10000000000002</v>
      </c>
      <c r="O102" s="53"/>
      <c r="P102" s="60"/>
      <c r="Q102" s="60">
        <f>N102-60.1</f>
        <v>12.000000000000021</v>
      </c>
      <c r="R102" s="138">
        <f>N102/60.1</f>
        <v>1.1996672212978372</v>
      </c>
    </row>
    <row r="103" spans="1:18" s="6" customFormat="1" ht="15.75">
      <c r="A103" s="8"/>
      <c r="B103" s="67" t="s">
        <v>100</v>
      </c>
      <c r="C103" s="167">
        <v>24060600</v>
      </c>
      <c r="D103" s="144"/>
      <c r="E103" s="144"/>
      <c r="F103" s="168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v>2488.2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8" sqref="E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5" t="s">
        <v>231</v>
      </c>
      <c r="L4" s="166"/>
      <c r="M4" s="204"/>
      <c r="N4" s="183" t="s">
        <v>236</v>
      </c>
      <c r="O4" s="185" t="s">
        <v>136</v>
      </c>
      <c r="P4" s="185" t="s">
        <v>135</v>
      </c>
      <c r="Q4" s="165" t="s">
        <v>234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9" sqref="F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5" t="s">
        <v>219</v>
      </c>
      <c r="L4" s="166"/>
      <c r="M4" s="204"/>
      <c r="N4" s="183" t="s">
        <v>227</v>
      </c>
      <c r="O4" s="185" t="s">
        <v>136</v>
      </c>
      <c r="P4" s="185" t="s">
        <v>135</v>
      </c>
      <c r="Q4" s="165" t="s">
        <v>222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40230.56697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5" t="s">
        <v>196</v>
      </c>
      <c r="L4" s="166"/>
      <c r="M4" s="204"/>
      <c r="N4" s="183" t="s">
        <v>213</v>
      </c>
      <c r="O4" s="185" t="s">
        <v>136</v>
      </c>
      <c r="P4" s="185" t="s">
        <v>135</v>
      </c>
      <c r="Q4" s="165" t="s">
        <v>197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3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09" t="s">
        <v>187</v>
      </c>
      <c r="E3" s="46"/>
      <c r="F3" s="210" t="s">
        <v>107</v>
      </c>
      <c r="G3" s="211"/>
      <c r="H3" s="211"/>
      <c r="I3" s="211"/>
      <c r="J3" s="212"/>
      <c r="K3" s="123"/>
      <c r="L3" s="123"/>
      <c r="M3" s="213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95"/>
      <c r="B4" s="197"/>
      <c r="C4" s="198"/>
      <c r="D4" s="209"/>
      <c r="E4" s="214" t="s">
        <v>191</v>
      </c>
      <c r="F4" s="216" t="s">
        <v>116</v>
      </c>
      <c r="G4" s="218" t="s">
        <v>167</v>
      </c>
      <c r="H4" s="189" t="s">
        <v>168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13"/>
      <c r="N4" s="183" t="s">
        <v>194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09"/>
      <c r="E5" s="215"/>
      <c r="F5" s="217"/>
      <c r="G5" s="219"/>
      <c r="H5" s="190"/>
      <c r="I5" s="221"/>
      <c r="J5" s="223"/>
      <c r="K5" s="180" t="s">
        <v>184</v>
      </c>
      <c r="L5" s="181"/>
      <c r="M5" s="213"/>
      <c r="N5" s="184"/>
      <c r="O5" s="221"/>
      <c r="P5" s="208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09" t="s">
        <v>192</v>
      </c>
      <c r="E3" s="46"/>
      <c r="F3" s="210" t="s">
        <v>107</v>
      </c>
      <c r="G3" s="211"/>
      <c r="H3" s="211"/>
      <c r="I3" s="211"/>
      <c r="J3" s="212"/>
      <c r="K3" s="123"/>
      <c r="L3" s="123"/>
      <c r="M3" s="191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95"/>
      <c r="B4" s="197"/>
      <c r="C4" s="198"/>
      <c r="D4" s="209"/>
      <c r="E4" s="214" t="s">
        <v>153</v>
      </c>
      <c r="F4" s="216" t="s">
        <v>116</v>
      </c>
      <c r="G4" s="218" t="s">
        <v>175</v>
      </c>
      <c r="H4" s="189" t="s">
        <v>176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24"/>
      <c r="N4" s="183" t="s">
        <v>186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09"/>
      <c r="E5" s="215"/>
      <c r="F5" s="217"/>
      <c r="G5" s="219"/>
      <c r="H5" s="190"/>
      <c r="I5" s="221"/>
      <c r="J5" s="223"/>
      <c r="K5" s="180" t="s">
        <v>177</v>
      </c>
      <c r="L5" s="181"/>
      <c r="M5" s="192"/>
      <c r="N5" s="184"/>
      <c r="O5" s="221"/>
      <c r="P5" s="208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2014-07-17T09:41:53Z</cp:lastPrinted>
  <dcterms:created xsi:type="dcterms:W3CDTF">2003-07-28T11:27:56Z</dcterms:created>
  <dcterms:modified xsi:type="dcterms:W3CDTF">2014-07-17T12:28:04Z</dcterms:modified>
  <cp:category/>
  <cp:version/>
  <cp:contentType/>
  <cp:contentStatus/>
</cp:coreProperties>
</file>